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udit 25-26\Reporting\06 - December 25\"/>
    </mc:Choice>
  </mc:AlternateContent>
  <xr:revisionPtr revIDLastSave="0" documentId="13_ncr:1_{3951B86B-5AF8-4A10-BABC-1A4980D5732D}" xr6:coauthVersionLast="47" xr6:coauthVersionMax="47" xr10:uidLastSave="{00000000-0000-0000-0000-000000000000}"/>
  <bookViews>
    <workbookView xWindow="28680" yWindow="-120" windowWidth="29040" windowHeight="15720" xr2:uid="{9468C653-F428-425D-A60A-D717452B067E}"/>
  </bookViews>
  <sheets>
    <sheet name="09302025" sheetId="1" r:id="rId1"/>
  </sheets>
  <definedNames>
    <definedName name="_xlnm.Print_Titles" localSheetId="0">'09302025'!$A:$A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1" i="1"/>
  <c r="M20" i="1"/>
  <c r="N19" i="1"/>
  <c r="B43" i="1" l="1"/>
  <c r="W42" i="1" l="1"/>
  <c r="V32" i="1"/>
  <c r="V26" i="1"/>
  <c r="F43" i="1" l="1"/>
  <c r="M41" i="1" l="1"/>
  <c r="M33" i="1"/>
  <c r="M15" i="1"/>
  <c r="M10" i="1"/>
  <c r="N41" i="1"/>
  <c r="N33" i="1"/>
  <c r="N15" i="1"/>
  <c r="N10" i="1"/>
  <c r="M45" i="1" l="1"/>
  <c r="N45" i="1"/>
  <c r="N20" i="1" s="1"/>
  <c r="L33" i="1"/>
  <c r="M23" i="1" l="1"/>
  <c r="M24" i="1" s="1"/>
  <c r="V43" i="1"/>
  <c r="G43" i="1"/>
  <c r="U41" i="1"/>
  <c r="T41" i="1"/>
  <c r="S41" i="1"/>
  <c r="R41" i="1"/>
  <c r="P41" i="1"/>
  <c r="L41" i="1"/>
  <c r="L45" i="1" s="1"/>
  <c r="K41" i="1"/>
  <c r="J41" i="1"/>
  <c r="I41" i="1"/>
  <c r="H41" i="1"/>
  <c r="D41" i="1"/>
  <c r="C41" i="1"/>
  <c r="V40" i="1"/>
  <c r="Q40" i="1"/>
  <c r="F40" i="1"/>
  <c r="G40" i="1" s="1"/>
  <c r="V39" i="1"/>
  <c r="Q39" i="1"/>
  <c r="F39" i="1"/>
  <c r="G39" i="1" s="1"/>
  <c r="V38" i="1"/>
  <c r="Q38" i="1"/>
  <c r="F38" i="1"/>
  <c r="G38" i="1" s="1"/>
  <c r="V37" i="1"/>
  <c r="Q37" i="1"/>
  <c r="F37" i="1"/>
  <c r="G37" i="1" s="1"/>
  <c r="V36" i="1"/>
  <c r="Q36" i="1"/>
  <c r="F36" i="1"/>
  <c r="G36" i="1" s="1"/>
  <c r="V35" i="1"/>
  <c r="Q35" i="1"/>
  <c r="F35" i="1"/>
  <c r="G35" i="1" s="1"/>
  <c r="V33" i="1"/>
  <c r="U33" i="1"/>
  <c r="S33" i="1"/>
  <c r="R33" i="1"/>
  <c r="K33" i="1"/>
  <c r="J33" i="1"/>
  <c r="I33" i="1"/>
  <c r="H33" i="1"/>
  <c r="E33" i="1"/>
  <c r="D33" i="1"/>
  <c r="C33" i="1"/>
  <c r="B33" i="1"/>
  <c r="Q32" i="1"/>
  <c r="W32" i="1" s="1"/>
  <c r="F32" i="1"/>
  <c r="G32" i="1" s="1"/>
  <c r="Q31" i="1"/>
  <c r="W31" i="1" s="1"/>
  <c r="F31" i="1"/>
  <c r="G31" i="1" s="1"/>
  <c r="Q30" i="1"/>
  <c r="W30" i="1" s="1"/>
  <c r="F30" i="1"/>
  <c r="G30" i="1" s="1"/>
  <c r="Q29" i="1"/>
  <c r="W29" i="1" s="1"/>
  <c r="F29" i="1"/>
  <c r="Q28" i="1"/>
  <c r="W28" i="1" s="1"/>
  <c r="F28" i="1"/>
  <c r="G28" i="1" s="1"/>
  <c r="Q27" i="1"/>
  <c r="W27" i="1" s="1"/>
  <c r="F27" i="1"/>
  <c r="G27" i="1" s="1"/>
  <c r="T33" i="1"/>
  <c r="P33" i="1"/>
  <c r="F26" i="1"/>
  <c r="G26" i="1" s="1"/>
  <c r="V22" i="1"/>
  <c r="Q22" i="1"/>
  <c r="F22" i="1"/>
  <c r="V21" i="1"/>
  <c r="Q21" i="1"/>
  <c r="F21" i="1"/>
  <c r="G21" i="1" s="1"/>
  <c r="F20" i="1"/>
  <c r="V19" i="1"/>
  <c r="V18" i="1"/>
  <c r="Q18" i="1"/>
  <c r="F18" i="1"/>
  <c r="U15" i="1"/>
  <c r="T15" i="1"/>
  <c r="S15" i="1"/>
  <c r="R15" i="1"/>
  <c r="P15" i="1"/>
  <c r="L15" i="1"/>
  <c r="K15" i="1"/>
  <c r="J15" i="1"/>
  <c r="I15" i="1"/>
  <c r="H15" i="1"/>
  <c r="E15" i="1"/>
  <c r="D15" i="1"/>
  <c r="C15" i="1"/>
  <c r="V14" i="1"/>
  <c r="Q14" i="1"/>
  <c r="F14" i="1"/>
  <c r="G14" i="1" s="1"/>
  <c r="V13" i="1"/>
  <c r="Q13" i="1"/>
  <c r="F13" i="1"/>
  <c r="G13" i="1" s="1"/>
  <c r="V12" i="1"/>
  <c r="Q12" i="1"/>
  <c r="F12" i="1"/>
  <c r="B15" i="1"/>
  <c r="U10" i="1"/>
  <c r="T10" i="1"/>
  <c r="S10" i="1"/>
  <c r="R10" i="1"/>
  <c r="P10" i="1"/>
  <c r="L10" i="1"/>
  <c r="K10" i="1"/>
  <c r="J10" i="1"/>
  <c r="I10" i="1"/>
  <c r="H10" i="1"/>
  <c r="E10" i="1"/>
  <c r="D10" i="1"/>
  <c r="C10" i="1"/>
  <c r="B10" i="1"/>
  <c r="V9" i="1"/>
  <c r="Q9" i="1"/>
  <c r="F9" i="1"/>
  <c r="G9" i="1" s="1"/>
  <c r="V8" i="1"/>
  <c r="Q8" i="1"/>
  <c r="F8" i="1"/>
  <c r="G8" i="1" s="1"/>
  <c r="V7" i="1"/>
  <c r="Q7" i="1"/>
  <c r="F7" i="1"/>
  <c r="G7" i="1" s="1"/>
  <c r="V6" i="1"/>
  <c r="Q6" i="1"/>
  <c r="F6" i="1"/>
  <c r="W36" i="1" l="1"/>
  <c r="W40" i="1"/>
  <c r="X40" i="1" s="1"/>
  <c r="S45" i="1"/>
  <c r="S20" i="1" s="1"/>
  <c r="W39" i="1"/>
  <c r="W43" i="1"/>
  <c r="X43" i="1" s="1"/>
  <c r="W38" i="1"/>
  <c r="X38" i="1" s="1"/>
  <c r="W37" i="1"/>
  <c r="X37" i="1" s="1"/>
  <c r="W35" i="1"/>
  <c r="X35" i="1" s="1"/>
  <c r="R45" i="1"/>
  <c r="R20" i="1" s="1"/>
  <c r="L20" i="1"/>
  <c r="L23" i="1" s="1"/>
  <c r="L24" i="1" s="1"/>
  <c r="W21" i="1"/>
  <c r="X21" i="1" s="1"/>
  <c r="U45" i="1"/>
  <c r="F15" i="1"/>
  <c r="W22" i="1"/>
  <c r="W7" i="1"/>
  <c r="X7" i="1" s="1"/>
  <c r="E45" i="1"/>
  <c r="E19" i="1" s="1"/>
  <c r="X36" i="1"/>
  <c r="X39" i="1"/>
  <c r="W13" i="1"/>
  <c r="X13" i="1" s="1"/>
  <c r="K45" i="1"/>
  <c r="K20" i="1" s="1"/>
  <c r="W14" i="1"/>
  <c r="X14" i="1" s="1"/>
  <c r="P45" i="1"/>
  <c r="P19" i="1" s="1"/>
  <c r="Q15" i="1"/>
  <c r="I45" i="1"/>
  <c r="I19" i="1" s="1"/>
  <c r="F33" i="1"/>
  <c r="F10" i="1"/>
  <c r="D45" i="1"/>
  <c r="D19" i="1" s="1"/>
  <c r="F41" i="1"/>
  <c r="W12" i="1"/>
  <c r="V10" i="1"/>
  <c r="W18" i="1"/>
  <c r="C45" i="1"/>
  <c r="X32" i="1"/>
  <c r="H45" i="1"/>
  <c r="H20" i="1" s="1"/>
  <c r="J45" i="1"/>
  <c r="J19" i="1" s="1"/>
  <c r="Q41" i="1"/>
  <c r="T45" i="1"/>
  <c r="T20" i="1" s="1"/>
  <c r="W9" i="1"/>
  <c r="X9" i="1" s="1"/>
  <c r="W8" i="1"/>
  <c r="X8" i="1" s="1"/>
  <c r="Q10" i="1"/>
  <c r="X27" i="1"/>
  <c r="G41" i="1"/>
  <c r="X30" i="1"/>
  <c r="X31" i="1"/>
  <c r="X28" i="1"/>
  <c r="Q26" i="1"/>
  <c r="V15" i="1"/>
  <c r="V41" i="1"/>
  <c r="G6" i="1"/>
  <c r="G10" i="1" s="1"/>
  <c r="G12" i="1"/>
  <c r="G15" i="1" s="1"/>
  <c r="G18" i="1"/>
  <c r="B41" i="1"/>
  <c r="B45" i="1" s="1"/>
  <c r="B22" i="1" s="1"/>
  <c r="G29" i="1"/>
  <c r="X29" i="1" s="1"/>
  <c r="W6" i="1"/>
  <c r="U20" i="1" l="1"/>
  <c r="U23" i="1" s="1"/>
  <c r="U24" i="1" s="1"/>
  <c r="V45" i="1"/>
  <c r="W41" i="1"/>
  <c r="E23" i="1"/>
  <c r="E24" i="1" s="1"/>
  <c r="I23" i="1"/>
  <c r="I24" i="1" s="1"/>
  <c r="T23" i="1"/>
  <c r="T24" i="1" s="1"/>
  <c r="P23" i="1"/>
  <c r="P24" i="1" s="1"/>
  <c r="K23" i="1"/>
  <c r="K24" i="1" s="1"/>
  <c r="G33" i="1"/>
  <c r="W15" i="1"/>
  <c r="J23" i="1"/>
  <c r="J24" i="1" s="1"/>
  <c r="D23" i="1"/>
  <c r="D24" i="1" s="1"/>
  <c r="F45" i="1"/>
  <c r="G45" i="1" s="1"/>
  <c r="B23" i="1"/>
  <c r="B24" i="1" s="1"/>
  <c r="H23" i="1"/>
  <c r="H24" i="1" s="1"/>
  <c r="R23" i="1"/>
  <c r="R24" i="1" s="1"/>
  <c r="C23" i="1"/>
  <c r="C24" i="1" s="1"/>
  <c r="X12" i="1"/>
  <c r="X15" i="1" s="1"/>
  <c r="Q33" i="1"/>
  <c r="Q45" i="1" s="1"/>
  <c r="W26" i="1"/>
  <c r="X6" i="1"/>
  <c r="X10" i="1" s="1"/>
  <c r="W10" i="1"/>
  <c r="X18" i="1"/>
  <c r="X41" i="1"/>
  <c r="F19" i="1" l="1"/>
  <c r="F23" i="1" s="1"/>
  <c r="F24" i="1" s="1"/>
  <c r="V20" i="1"/>
  <c r="V23" i="1" s="1"/>
  <c r="V24" i="1" s="1"/>
  <c r="G20" i="1"/>
  <c r="Q19" i="1"/>
  <c r="W19" i="1" s="1"/>
  <c r="S23" i="1"/>
  <c r="S24" i="1" s="1"/>
  <c r="G22" i="1"/>
  <c r="X22" i="1" s="1"/>
  <c r="W33" i="1"/>
  <c r="W45" i="1" s="1"/>
  <c r="X26" i="1"/>
  <c r="X33" i="1" s="1"/>
  <c r="X45" i="1" s="1"/>
  <c r="G19" i="1" l="1"/>
  <c r="X19" i="1" s="1"/>
  <c r="N23" i="1"/>
  <c r="N24" i="1" s="1"/>
  <c r="Q20" i="1"/>
  <c r="W20" i="1" s="1"/>
  <c r="G23" i="1" l="1"/>
  <c r="G24" i="1" s="1"/>
  <c r="Q23" i="1"/>
  <c r="Q24" i="1" s="1"/>
  <c r="X20" i="1"/>
  <c r="X23" i="1" s="1"/>
  <c r="X24" i="1" s="1"/>
  <c r="W23" i="1"/>
  <c r="W24" i="1" s="1"/>
</calcChain>
</file>

<file path=xl/sharedStrings.xml><?xml version="1.0" encoding="utf-8"?>
<sst xmlns="http://schemas.openxmlformats.org/spreadsheetml/2006/main" count="74" uniqueCount="66">
  <si>
    <t>Consolidated Report</t>
  </si>
  <si>
    <t>General Fund</t>
  </si>
  <si>
    <t>Declared Emergency Fund</t>
  </si>
  <si>
    <t>Capital Non-Recurring</t>
  </si>
  <si>
    <t>TOTAL GOVERNMENTAL FUNDS</t>
  </si>
  <si>
    <t>SPECIAL REVENUE FUNDS</t>
  </si>
  <si>
    <t>TOTAL SPECIAL REVENUE FUNDS</t>
  </si>
  <si>
    <t>PERMANENT FUNDS</t>
  </si>
  <si>
    <t>TOTAL PERMANENT FUNDS</t>
  </si>
  <si>
    <t>TOTAL NON-MAJOR FUNDS</t>
  </si>
  <si>
    <t>TOTAL TOWN OF SCOTLAND</t>
  </si>
  <si>
    <t>Town</t>
  </si>
  <si>
    <t>BOE</t>
  </si>
  <si>
    <t>Total CNR</t>
  </si>
  <si>
    <t>Town Aid Road</t>
  </si>
  <si>
    <t>Library Activities</t>
  </si>
  <si>
    <t>Dog Fund</t>
  </si>
  <si>
    <t>Liquor Surcharge Fund</t>
  </si>
  <si>
    <t>Auxilliary Fund</t>
  </si>
  <si>
    <t>D'Elia Library Fund</t>
  </si>
  <si>
    <t>Other Permanent Library Fund</t>
  </si>
  <si>
    <t>Cemetery Trust Fund</t>
  </si>
  <si>
    <t>Rose Khourie Scholarship Fund</t>
  </si>
  <si>
    <t>BALANCE SHEET</t>
  </si>
  <si>
    <t>Cash &amp; Investments</t>
  </si>
  <si>
    <t>Receivables</t>
  </si>
  <si>
    <t>Prepaids</t>
  </si>
  <si>
    <t>Due from Other funds</t>
  </si>
  <si>
    <t>TOTAL ASSETS</t>
  </si>
  <si>
    <t>Due to Other Funds (inc. School Grant Fund)</t>
  </si>
  <si>
    <t>Deferred Revenue</t>
  </si>
  <si>
    <t>Other payables</t>
  </si>
  <si>
    <t>TOTAL LIABILITIES</t>
  </si>
  <si>
    <t>Fund Balance</t>
  </si>
  <si>
    <t>Non-Spendable</t>
  </si>
  <si>
    <t>Committed</t>
  </si>
  <si>
    <t>Restricted</t>
  </si>
  <si>
    <t>Assigned</t>
  </si>
  <si>
    <t>Unassigned</t>
  </si>
  <si>
    <t>TOTAL FUND BALANCE</t>
  </si>
  <si>
    <t>cross check</t>
  </si>
  <si>
    <t>INCOME STATEMENT</t>
  </si>
  <si>
    <t>Program Revenues</t>
  </si>
  <si>
    <t>General Revenue</t>
  </si>
  <si>
    <t>Tax Revenue</t>
  </si>
  <si>
    <t>Departmental Revenue</t>
  </si>
  <si>
    <t>State/Federal Grants</t>
  </si>
  <si>
    <t>Donations</t>
  </si>
  <si>
    <t>Interest &amp; Dividend Income</t>
  </si>
  <si>
    <t>TOTAL REVENUES</t>
  </si>
  <si>
    <t>Program Expenditures</t>
  </si>
  <si>
    <t>Town Government Expenditures</t>
  </si>
  <si>
    <t>Debt service (principal &amp; interest)</t>
  </si>
  <si>
    <t>Scotland Elementary</t>
  </si>
  <si>
    <t>PHHS (inc. transportation)</t>
  </si>
  <si>
    <t>Other</t>
  </si>
  <si>
    <t>TOTAL EXPENDITURES</t>
  </si>
  <si>
    <t>Other Financing Sources (Uses)</t>
  </si>
  <si>
    <t>CURRENT YEAR "NET INCOME"</t>
  </si>
  <si>
    <t xml:space="preserve"> </t>
  </si>
  <si>
    <t>Town Hall Renovation Project Fund</t>
  </si>
  <si>
    <t>Kemp Road Bridge Fund</t>
  </si>
  <si>
    <t>SES Surplus Fund</t>
  </si>
  <si>
    <t>STEAP Public Safety Complex</t>
  </si>
  <si>
    <t>As of December 31, 2025</t>
  </si>
  <si>
    <t>Prelimary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</si>
</sst>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3" fontId="3" fillId="2" borderId="13" xfId="1" applyFont="1" applyFill="1" applyBorder="1" applyAlignment="1">
      <alignment horizontal="right" wrapText="1"/>
    </xf>
    <xf numFmtId="43" fontId="3" fillId="2" borderId="9" xfId="1" applyFont="1" applyFill="1" applyBorder="1" applyAlignment="1">
      <alignment wrapText="1"/>
    </xf>
    <xf numFmtId="43" fontId="3" fillId="2" borderId="9" xfId="1" applyFont="1" applyFill="1" applyBorder="1" applyAlignment="1">
      <alignment horizontal="right" wrapText="1"/>
    </xf>
    <xf numFmtId="43" fontId="3" fillId="0" borderId="9" xfId="1" applyFont="1" applyBorder="1" applyAlignment="1">
      <alignment horizontal="right" wrapText="1"/>
    </xf>
    <xf numFmtId="43" fontId="4" fillId="0" borderId="9" xfId="1" applyFont="1" applyBorder="1" applyAlignment="1">
      <alignment horizontal="right" wrapText="1"/>
    </xf>
    <xf numFmtId="43" fontId="3" fillId="3" borderId="9" xfId="1" applyFont="1" applyFill="1" applyBorder="1" applyAlignment="1">
      <alignment wrapText="1"/>
    </xf>
    <xf numFmtId="43" fontId="3" fillId="0" borderId="9" xfId="1" applyFont="1" applyBorder="1" applyAlignment="1">
      <alignment wrapText="1"/>
    </xf>
    <xf numFmtId="0" fontId="4" fillId="0" borderId="13" xfId="0" applyFont="1" applyBorder="1" applyAlignment="1">
      <alignment wrapText="1"/>
    </xf>
    <xf numFmtId="43" fontId="4" fillId="0" borderId="13" xfId="1" applyFont="1" applyBorder="1" applyAlignment="1">
      <alignment horizontal="right" wrapText="1"/>
    </xf>
    <xf numFmtId="43" fontId="3" fillId="0" borderId="2" xfId="1" applyFont="1" applyBorder="1" applyAlignment="1">
      <alignment wrapText="1"/>
    </xf>
    <xf numFmtId="43" fontId="3" fillId="4" borderId="9" xfId="1" applyFont="1" applyFill="1" applyBorder="1" applyAlignment="1">
      <alignment wrapText="1"/>
    </xf>
    <xf numFmtId="43" fontId="3" fillId="4" borderId="9" xfId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5" fillId="0" borderId="1" xfId="1" applyFont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43" fontId="3" fillId="0" borderId="2" xfId="1" applyFont="1" applyFill="1" applyBorder="1" applyAlignment="1">
      <alignment wrapText="1"/>
    </xf>
    <xf numFmtId="43" fontId="0" fillId="0" borderId="0" xfId="1" applyFont="1"/>
    <xf numFmtId="43" fontId="5" fillId="0" borderId="1" xfId="1" applyFont="1" applyFill="1" applyBorder="1" applyAlignment="1">
      <alignment horizontal="right" wrapText="1"/>
    </xf>
    <xf numFmtId="43" fontId="0" fillId="3" borderId="0" xfId="0" applyNumberFormat="1" applyFill="1"/>
    <xf numFmtId="0" fontId="3" fillId="0" borderId="1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43" fontId="3" fillId="5" borderId="13" xfId="1" applyFont="1" applyFill="1" applyBorder="1" applyAlignment="1">
      <alignment horizontal="right" wrapText="1"/>
    </xf>
    <xf numFmtId="0" fontId="3" fillId="5" borderId="1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E95F-C72F-4829-9E0C-B349879637A9}">
  <dimension ref="A1:X48"/>
  <sheetViews>
    <sheetView tabSelected="1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U4" sqref="U4"/>
    </sheetView>
  </sheetViews>
  <sheetFormatPr defaultRowHeight="14.5" x14ac:dyDescent="0.35"/>
  <cols>
    <col min="1" max="1" width="27.90625" customWidth="1"/>
    <col min="2" max="6" width="12.6328125" customWidth="1"/>
    <col min="7" max="7" width="17.36328125" customWidth="1"/>
    <col min="8" max="24" width="12.6328125" customWidth="1"/>
  </cols>
  <sheetData>
    <row r="1" spans="1:24" ht="16" thickBot="1" x14ac:dyDescent="0.4">
      <c r="A1" s="1" t="s">
        <v>0</v>
      </c>
      <c r="B1" s="2"/>
      <c r="C1" s="39" t="s">
        <v>65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" thickBot="1" x14ac:dyDescent="0.4">
      <c r="A2" s="1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thickBot="1" x14ac:dyDescent="0.4">
      <c r="A3" s="4"/>
      <c r="B3" s="40" t="s">
        <v>1</v>
      </c>
      <c r="C3" s="44" t="s">
        <v>2</v>
      </c>
      <c r="D3" s="33" t="s">
        <v>3</v>
      </c>
      <c r="E3" s="34"/>
      <c r="F3" s="35"/>
      <c r="G3" s="31" t="s">
        <v>4</v>
      </c>
      <c r="H3" s="33" t="s">
        <v>5</v>
      </c>
      <c r="I3" s="34"/>
      <c r="J3" s="34"/>
      <c r="K3" s="34"/>
      <c r="L3" s="34"/>
      <c r="M3" s="34"/>
      <c r="N3" s="34"/>
      <c r="O3" s="34"/>
      <c r="P3" s="35"/>
      <c r="Q3" s="31" t="s">
        <v>6</v>
      </c>
      <c r="R3" s="33" t="s">
        <v>7</v>
      </c>
      <c r="S3" s="34"/>
      <c r="T3" s="34"/>
      <c r="U3" s="35"/>
      <c r="V3" s="31" t="s">
        <v>8</v>
      </c>
      <c r="W3" s="31" t="s">
        <v>9</v>
      </c>
      <c r="X3" s="31" t="s">
        <v>10</v>
      </c>
    </row>
    <row r="4" spans="1:24" ht="39" thickBot="1" x14ac:dyDescent="0.4">
      <c r="A4" s="4"/>
      <c r="B4" s="41"/>
      <c r="C4" s="45"/>
      <c r="D4" s="46" t="s">
        <v>11</v>
      </c>
      <c r="E4" s="47" t="s">
        <v>12</v>
      </c>
      <c r="F4" s="5" t="s">
        <v>13</v>
      </c>
      <c r="G4" s="32"/>
      <c r="H4" s="47" t="s">
        <v>14</v>
      </c>
      <c r="I4" s="48" t="s">
        <v>15</v>
      </c>
      <c r="J4" s="47" t="s">
        <v>16</v>
      </c>
      <c r="K4" s="47" t="s">
        <v>17</v>
      </c>
      <c r="L4" s="47" t="s">
        <v>61</v>
      </c>
      <c r="M4" s="42" t="s">
        <v>62</v>
      </c>
      <c r="N4" s="47" t="s">
        <v>60</v>
      </c>
      <c r="O4" s="46" t="s">
        <v>63</v>
      </c>
      <c r="P4" s="46" t="s">
        <v>18</v>
      </c>
      <c r="Q4" s="32"/>
      <c r="R4" s="47" t="s">
        <v>19</v>
      </c>
      <c r="S4" s="48" t="s">
        <v>20</v>
      </c>
      <c r="T4" s="48" t="s">
        <v>21</v>
      </c>
      <c r="U4" s="47" t="s">
        <v>22</v>
      </c>
      <c r="V4" s="32"/>
      <c r="W4" s="32"/>
      <c r="X4" s="32"/>
    </row>
    <row r="5" spans="1:24" ht="15" thickBot="1" x14ac:dyDescent="0.4">
      <c r="A5" s="6" t="s">
        <v>23</v>
      </c>
      <c r="B5" s="43"/>
      <c r="C5" s="7"/>
      <c r="D5" s="30"/>
      <c r="E5" s="7"/>
      <c r="F5" s="7"/>
      <c r="G5" s="7"/>
      <c r="H5" s="7"/>
      <c r="I5" s="7"/>
      <c r="J5" s="7"/>
      <c r="K5" s="7"/>
      <c r="L5" s="7"/>
      <c r="M5" s="30"/>
      <c r="N5" s="7"/>
      <c r="O5" s="30"/>
      <c r="P5" s="30"/>
      <c r="Q5" s="7"/>
      <c r="R5" s="36"/>
      <c r="S5" s="37"/>
      <c r="T5" s="7"/>
      <c r="U5" s="7"/>
      <c r="V5" s="7"/>
      <c r="W5" s="7"/>
      <c r="X5" s="7"/>
    </row>
    <row r="6" spans="1:24" ht="15" thickBot="1" x14ac:dyDescent="0.4">
      <c r="A6" s="8" t="s">
        <v>24</v>
      </c>
      <c r="B6" s="9">
        <v>726184.36</v>
      </c>
      <c r="C6" s="10">
        <v>0</v>
      </c>
      <c r="D6" s="11">
        <v>332947.27</v>
      </c>
      <c r="E6" s="11">
        <v>84217.45</v>
      </c>
      <c r="F6" s="12">
        <f>SUM(D6:E6)</f>
        <v>417164.72000000003</v>
      </c>
      <c r="G6" s="13">
        <f>+B6+C6+F6</f>
        <v>1143349.08</v>
      </c>
      <c r="H6" s="14">
        <v>165868.5</v>
      </c>
      <c r="I6" s="11">
        <v>16844.650000000001</v>
      </c>
      <c r="J6" s="11">
        <v>8975.35</v>
      </c>
      <c r="K6" s="11">
        <v>7093.64</v>
      </c>
      <c r="L6" s="15">
        <v>0</v>
      </c>
      <c r="M6" s="15">
        <v>73387.64</v>
      </c>
      <c r="N6" s="11">
        <v>283.63</v>
      </c>
      <c r="O6" s="11"/>
      <c r="P6" s="11">
        <v>22319.09</v>
      </c>
      <c r="Q6" s="13">
        <f>SUM(H6:P6)</f>
        <v>294772.50000000006</v>
      </c>
      <c r="R6" s="11">
        <v>107693.97</v>
      </c>
      <c r="S6" s="11">
        <v>5377.24</v>
      </c>
      <c r="T6" s="11">
        <v>85857.62</v>
      </c>
      <c r="U6" s="11">
        <v>11780.79</v>
      </c>
      <c r="V6" s="13">
        <f>SUM(R6:U6)</f>
        <v>210709.62000000002</v>
      </c>
      <c r="W6" s="13">
        <f>+V6+Q6</f>
        <v>505482.12000000011</v>
      </c>
      <c r="X6" s="13">
        <f>+W6+G6</f>
        <v>1648831.2000000002</v>
      </c>
    </row>
    <row r="7" spans="1:24" ht="15" thickBot="1" x14ac:dyDescent="0.4">
      <c r="A7" s="8" t="s">
        <v>25</v>
      </c>
      <c r="B7" s="9">
        <v>121028.54</v>
      </c>
      <c r="C7" s="15"/>
      <c r="D7" s="15"/>
      <c r="E7" s="15"/>
      <c r="F7" s="12">
        <f t="shared" ref="F7:F9" si="0">SUM(D7:E7)</f>
        <v>0</v>
      </c>
      <c r="G7" s="13">
        <f t="shared" ref="G7:G8" si="1">+B7+C7+F7</f>
        <v>121028.54</v>
      </c>
      <c r="H7" s="15"/>
      <c r="I7" s="15"/>
      <c r="J7" s="15"/>
      <c r="K7" s="15"/>
      <c r="L7" s="15">
        <v>0</v>
      </c>
      <c r="M7" s="15">
        <v>0</v>
      </c>
      <c r="N7" s="12">
        <v>19599.59</v>
      </c>
      <c r="O7" s="12">
        <v>1968</v>
      </c>
      <c r="P7" s="15"/>
      <c r="Q7" s="13">
        <f>SUM(H7:P7)</f>
        <v>21567.59</v>
      </c>
      <c r="R7" s="15"/>
      <c r="S7" s="15"/>
      <c r="T7" s="15"/>
      <c r="U7" s="15"/>
      <c r="V7" s="13">
        <f>SUM(R7:U7)</f>
        <v>0</v>
      </c>
      <c r="W7" s="13">
        <f>+V7+Q7</f>
        <v>21567.59</v>
      </c>
      <c r="X7" s="13">
        <f>+W7+G7</f>
        <v>142596.13</v>
      </c>
    </row>
    <row r="8" spans="1:24" ht="15" thickBot="1" x14ac:dyDescent="0.4">
      <c r="A8" s="8" t="s">
        <v>26</v>
      </c>
      <c r="B8" s="15"/>
      <c r="C8" s="15"/>
      <c r="D8" s="15"/>
      <c r="E8" s="15"/>
      <c r="F8" s="12">
        <f t="shared" si="0"/>
        <v>0</v>
      </c>
      <c r="G8" s="13">
        <f t="shared" si="1"/>
        <v>0</v>
      </c>
      <c r="H8" s="15"/>
      <c r="I8" s="15"/>
      <c r="J8" s="15">
        <v>0</v>
      </c>
      <c r="K8" s="15"/>
      <c r="L8" s="15"/>
      <c r="M8" s="15"/>
      <c r="N8" s="15">
        <v>0</v>
      </c>
      <c r="O8" s="15"/>
      <c r="P8" s="15">
        <v>0</v>
      </c>
      <c r="Q8" s="13">
        <f>SUM(H8:P8)</f>
        <v>0</v>
      </c>
      <c r="R8" s="15"/>
      <c r="S8" s="15"/>
      <c r="T8" s="10">
        <v>0</v>
      </c>
      <c r="U8" s="15"/>
      <c r="V8" s="13">
        <f>SUM(R8:U8)</f>
        <v>0</v>
      </c>
      <c r="W8" s="13">
        <f>+V8+Q8</f>
        <v>0</v>
      </c>
      <c r="X8" s="13">
        <f>+W8+G8</f>
        <v>0</v>
      </c>
    </row>
    <row r="9" spans="1:24" ht="15" thickBot="1" x14ac:dyDescent="0.4">
      <c r="A9" s="8" t="s">
        <v>27</v>
      </c>
      <c r="B9" s="9">
        <v>0</v>
      </c>
      <c r="C9" s="15">
        <v>0</v>
      </c>
      <c r="D9" s="15">
        <v>-6100</v>
      </c>
      <c r="E9" s="15">
        <v>0</v>
      </c>
      <c r="F9" s="12">
        <f t="shared" si="0"/>
        <v>-6100</v>
      </c>
      <c r="G9" s="13">
        <f>+B9+C9+F9</f>
        <v>-6100</v>
      </c>
      <c r="H9" s="15">
        <v>-29664.76</v>
      </c>
      <c r="I9" s="15"/>
      <c r="J9" s="12">
        <v>80</v>
      </c>
      <c r="K9" s="12">
        <v>1119.7</v>
      </c>
      <c r="L9" s="15"/>
      <c r="M9" s="12">
        <v>9371</v>
      </c>
      <c r="N9" s="11">
        <v>-28298.22</v>
      </c>
      <c r="O9" s="11">
        <v>-1968</v>
      </c>
      <c r="P9" s="10">
        <v>470</v>
      </c>
      <c r="Q9" s="13">
        <f>SUM(H9:P9)</f>
        <v>-48890.28</v>
      </c>
      <c r="R9" s="15"/>
      <c r="S9" s="15" t="s">
        <v>59</v>
      </c>
      <c r="T9" s="11">
        <v>-1000</v>
      </c>
      <c r="U9" s="15"/>
      <c r="V9" s="13">
        <f>SUM(R9:U9)</f>
        <v>-1000</v>
      </c>
      <c r="W9" s="13">
        <f>+V9+Q9</f>
        <v>-49890.28</v>
      </c>
      <c r="X9" s="13">
        <f>+W9+G9</f>
        <v>-55990.28</v>
      </c>
    </row>
    <row r="10" spans="1:24" ht="15" thickBot="1" x14ac:dyDescent="0.4">
      <c r="A10" s="16" t="s">
        <v>28</v>
      </c>
      <c r="B10" s="17">
        <f>SUM(B6:B9)</f>
        <v>847212.9</v>
      </c>
      <c r="C10" s="17">
        <f t="shared" ref="C10:X10" si="2">SUM(C6:C9)</f>
        <v>0</v>
      </c>
      <c r="D10" s="17">
        <f t="shared" si="2"/>
        <v>326847.27</v>
      </c>
      <c r="E10" s="17">
        <f t="shared" si="2"/>
        <v>84217.45</v>
      </c>
      <c r="F10" s="17">
        <f t="shared" si="2"/>
        <v>411064.72000000003</v>
      </c>
      <c r="G10" s="17">
        <f>SUM(G6:G9)</f>
        <v>1258277.6200000001</v>
      </c>
      <c r="H10" s="17">
        <f t="shared" si="2"/>
        <v>136203.74</v>
      </c>
      <c r="I10" s="17">
        <f t="shared" si="2"/>
        <v>16844.650000000001</v>
      </c>
      <c r="J10" s="17">
        <f t="shared" si="2"/>
        <v>9055.35</v>
      </c>
      <c r="K10" s="17">
        <f t="shared" si="2"/>
        <v>8213.34</v>
      </c>
      <c r="L10" s="17">
        <f t="shared" si="2"/>
        <v>0</v>
      </c>
      <c r="M10" s="17">
        <f t="shared" ref="M10" si="3">SUM(M6:M9)</f>
        <v>82758.64</v>
      </c>
      <c r="N10" s="17">
        <f t="shared" ref="N10" si="4">SUM(N6:N9)</f>
        <v>-8415</v>
      </c>
      <c r="O10" s="17"/>
      <c r="P10" s="17">
        <f t="shared" si="2"/>
        <v>22789.09</v>
      </c>
      <c r="Q10" s="17">
        <f t="shared" si="2"/>
        <v>267449.81000000006</v>
      </c>
      <c r="R10" s="17">
        <f t="shared" si="2"/>
        <v>107693.97</v>
      </c>
      <c r="S10" s="17">
        <f t="shared" si="2"/>
        <v>5377.24</v>
      </c>
      <c r="T10" s="17">
        <f t="shared" si="2"/>
        <v>84857.62</v>
      </c>
      <c r="U10" s="17">
        <f t="shared" si="2"/>
        <v>11780.79</v>
      </c>
      <c r="V10" s="17">
        <f t="shared" si="2"/>
        <v>209709.62000000002</v>
      </c>
      <c r="W10" s="17">
        <f t="shared" si="2"/>
        <v>477159.43000000005</v>
      </c>
      <c r="X10" s="17">
        <f t="shared" si="2"/>
        <v>1735437.05</v>
      </c>
    </row>
    <row r="11" spans="1:24" ht="15" thickBot="1" x14ac:dyDescent="0.4">
      <c r="A11" s="3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26.5" thickBot="1" x14ac:dyDescent="0.4">
      <c r="A12" s="8" t="s">
        <v>29</v>
      </c>
      <c r="B12" s="9">
        <v>1991.82</v>
      </c>
      <c r="C12" s="15"/>
      <c r="D12" s="12">
        <v>0</v>
      </c>
      <c r="E12" s="12">
        <v>0</v>
      </c>
      <c r="F12" s="12">
        <f t="shared" ref="F12:F14" si="5">SUM(D12:E12)</f>
        <v>0</v>
      </c>
      <c r="G12" s="13">
        <f t="shared" ref="G12:G14" si="6">+B12+C12+F12</f>
        <v>1991.82</v>
      </c>
      <c r="H12" s="19" t="s">
        <v>59</v>
      </c>
      <c r="I12" s="15"/>
      <c r="J12" s="15"/>
      <c r="K12" s="15"/>
      <c r="L12" s="19">
        <v>0</v>
      </c>
      <c r="M12" s="19">
        <v>0</v>
      </c>
      <c r="N12" s="15">
        <v>0</v>
      </c>
      <c r="O12" s="15"/>
      <c r="P12" s="15"/>
      <c r="Q12" s="13">
        <f>SUM(H12:P12)</f>
        <v>0</v>
      </c>
      <c r="R12" s="15"/>
      <c r="S12" s="15"/>
      <c r="T12" s="15"/>
      <c r="U12" s="20"/>
      <c r="V12" s="13">
        <f>SUM(R12:U12)</f>
        <v>0</v>
      </c>
      <c r="W12" s="13">
        <f>+V12+Q12</f>
        <v>0</v>
      </c>
      <c r="X12" s="13">
        <f>+W12+G12</f>
        <v>1991.82</v>
      </c>
    </row>
    <row r="13" spans="1:24" ht="15" thickBot="1" x14ac:dyDescent="0.4">
      <c r="A13" s="8" t="s">
        <v>30</v>
      </c>
      <c r="B13" s="9">
        <v>120373.74</v>
      </c>
      <c r="C13" s="20">
        <v>0</v>
      </c>
      <c r="D13" s="15">
        <v>30611</v>
      </c>
      <c r="E13" s="15"/>
      <c r="F13" s="12">
        <f t="shared" si="5"/>
        <v>30611</v>
      </c>
      <c r="G13" s="13">
        <f t="shared" si="6"/>
        <v>150984.74</v>
      </c>
      <c r="H13" s="15"/>
      <c r="I13" s="15"/>
      <c r="J13" s="15"/>
      <c r="K13" s="15"/>
      <c r="L13" s="15"/>
      <c r="M13" s="15"/>
      <c r="N13" s="15"/>
      <c r="O13" s="15"/>
      <c r="P13" s="15"/>
      <c r="Q13" s="13">
        <f>SUM(H13:P13)</f>
        <v>0</v>
      </c>
      <c r="R13" s="15"/>
      <c r="S13" s="15"/>
      <c r="T13" s="15"/>
      <c r="U13" s="15"/>
      <c r="V13" s="13">
        <f>SUM(R13:U13)</f>
        <v>0</v>
      </c>
      <c r="W13" s="13">
        <f>+V13+Q13</f>
        <v>0</v>
      </c>
      <c r="X13" s="13">
        <f>+W13+G13</f>
        <v>150984.74</v>
      </c>
    </row>
    <row r="14" spans="1:24" ht="15" thickBot="1" x14ac:dyDescent="0.4">
      <c r="A14" s="8" t="s">
        <v>31</v>
      </c>
      <c r="B14" s="9">
        <v>-97623.32</v>
      </c>
      <c r="C14" s="15"/>
      <c r="D14" s="15"/>
      <c r="E14" s="15"/>
      <c r="F14" s="12">
        <f t="shared" si="5"/>
        <v>0</v>
      </c>
      <c r="G14" s="13">
        <f t="shared" si="6"/>
        <v>-97623.32</v>
      </c>
      <c r="H14" s="15"/>
      <c r="I14" s="15"/>
      <c r="J14" s="12"/>
      <c r="K14" s="15"/>
      <c r="L14" s="15"/>
      <c r="M14" s="15"/>
      <c r="N14" s="12">
        <v>0</v>
      </c>
      <c r="O14" s="12"/>
      <c r="P14" s="15"/>
      <c r="Q14" s="13">
        <f>SUM(H14:P14)</f>
        <v>0</v>
      </c>
      <c r="R14" s="15"/>
      <c r="S14" s="15"/>
      <c r="T14" s="15"/>
      <c r="U14" s="15"/>
      <c r="V14" s="13">
        <f>SUM(R14:U14)</f>
        <v>0</v>
      </c>
      <c r="W14" s="13">
        <f>+V14+Q14</f>
        <v>0</v>
      </c>
      <c r="X14" s="13">
        <f>+W14+G14</f>
        <v>-97623.32</v>
      </c>
    </row>
    <row r="15" spans="1:24" ht="15" thickBot="1" x14ac:dyDescent="0.4">
      <c r="A15" s="16" t="s">
        <v>32</v>
      </c>
      <c r="B15" s="17">
        <f>SUM(B12:B14)</f>
        <v>24742.240000000005</v>
      </c>
      <c r="C15" s="17">
        <f>SUM(C12:C14)</f>
        <v>0</v>
      </c>
      <c r="D15" s="17">
        <f>SUM(D12:D14)</f>
        <v>30611</v>
      </c>
      <c r="E15" s="17">
        <f t="shared" ref="E15:X15" si="7">SUM(E12:E14)</f>
        <v>0</v>
      </c>
      <c r="F15" s="17">
        <f t="shared" si="7"/>
        <v>30611</v>
      </c>
      <c r="G15" s="17">
        <f t="shared" si="7"/>
        <v>55353.239999999991</v>
      </c>
      <c r="H15" s="17">
        <f t="shared" si="7"/>
        <v>0</v>
      </c>
      <c r="I15" s="17">
        <f t="shared" si="7"/>
        <v>0</v>
      </c>
      <c r="J15" s="17">
        <f t="shared" si="7"/>
        <v>0</v>
      </c>
      <c r="K15" s="17">
        <f t="shared" si="7"/>
        <v>0</v>
      </c>
      <c r="L15" s="17">
        <f t="shared" si="7"/>
        <v>0</v>
      </c>
      <c r="M15" s="17">
        <f t="shared" ref="M15" si="8">SUM(M12:M14)</f>
        <v>0</v>
      </c>
      <c r="N15" s="17">
        <f t="shared" ref="N15" si="9">SUM(N12:N14)</f>
        <v>0</v>
      </c>
      <c r="O15" s="17"/>
      <c r="P15" s="17">
        <f t="shared" si="7"/>
        <v>0</v>
      </c>
      <c r="Q15" s="17">
        <f t="shared" si="7"/>
        <v>0</v>
      </c>
      <c r="R15" s="17">
        <f t="shared" si="7"/>
        <v>0</v>
      </c>
      <c r="S15" s="17">
        <f t="shared" si="7"/>
        <v>0</v>
      </c>
      <c r="T15" s="17">
        <f t="shared" si="7"/>
        <v>0</v>
      </c>
      <c r="U15" s="17">
        <f t="shared" si="7"/>
        <v>0</v>
      </c>
      <c r="V15" s="17">
        <f t="shared" si="7"/>
        <v>0</v>
      </c>
      <c r="W15" s="17">
        <f t="shared" si="7"/>
        <v>0</v>
      </c>
      <c r="X15" s="17">
        <f t="shared" si="7"/>
        <v>55353.239999999991</v>
      </c>
    </row>
    <row r="16" spans="1:24" ht="15" thickBot="1" x14ac:dyDescent="0.4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5" thickBot="1" x14ac:dyDescent="0.4">
      <c r="A17" s="6" t="s">
        <v>33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" thickBot="1" x14ac:dyDescent="0.4">
      <c r="A18" s="8" t="s">
        <v>34</v>
      </c>
      <c r="B18" s="23"/>
      <c r="C18" s="15"/>
      <c r="D18" s="15"/>
      <c r="E18" s="15"/>
      <c r="F18" s="12">
        <f t="shared" ref="F18:F22" si="10">SUM(D18:E18)</f>
        <v>0</v>
      </c>
      <c r="G18" s="13">
        <f t="shared" ref="G18:G22" si="11">+B18+C18+F18</f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3">
        <f>SUM(H18:P18)</f>
        <v>0</v>
      </c>
      <c r="R18" s="11">
        <v>100000</v>
      </c>
      <c r="S18" s="11">
        <v>5000</v>
      </c>
      <c r="T18" s="11">
        <v>74749.5</v>
      </c>
      <c r="U18" s="11">
        <v>10000</v>
      </c>
      <c r="V18" s="13">
        <f>SUM(R18:U18)</f>
        <v>189749.5</v>
      </c>
      <c r="W18" s="13">
        <f>+V18+Q18</f>
        <v>189749.5</v>
      </c>
      <c r="X18" s="13">
        <f>+W18+G18</f>
        <v>189749.5</v>
      </c>
    </row>
    <row r="19" spans="1:24" ht="15" thickBot="1" x14ac:dyDescent="0.4">
      <c r="A19" s="8" t="s">
        <v>35</v>
      </c>
      <c r="B19" s="23"/>
      <c r="C19" s="15"/>
      <c r="D19" s="11">
        <f>263977.52-30611-5100+D45</f>
        <v>296236.27</v>
      </c>
      <c r="E19" s="11">
        <f>82978.09+E45</f>
        <v>84217.45</v>
      </c>
      <c r="F19" s="12">
        <f t="shared" si="10"/>
        <v>380453.72000000003</v>
      </c>
      <c r="G19" s="13">
        <f t="shared" si="11"/>
        <v>380453.72000000003</v>
      </c>
      <c r="H19" s="15"/>
      <c r="I19" s="11">
        <f>15183.81+I45</f>
        <v>16844.650000000001</v>
      </c>
      <c r="J19" s="11">
        <f>8993.59+J45</f>
        <v>9055.35</v>
      </c>
      <c r="K19" s="15"/>
      <c r="L19" s="15"/>
      <c r="M19" s="15"/>
      <c r="N19" s="11">
        <f>-8415+N45</f>
        <v>-8415</v>
      </c>
      <c r="O19" s="11"/>
      <c r="P19" s="11">
        <f>21835.35+P45</f>
        <v>22789.089999999997</v>
      </c>
      <c r="Q19" s="13">
        <f>SUM(H19:P19)</f>
        <v>40274.089999999997</v>
      </c>
      <c r="R19" s="15"/>
      <c r="S19" s="15"/>
      <c r="T19" s="15"/>
      <c r="U19" s="25">
        <v>0</v>
      </c>
      <c r="V19" s="13">
        <f>SUM(R19:U19)</f>
        <v>0</v>
      </c>
      <c r="W19" s="13">
        <f>+V19+Q19</f>
        <v>40274.089999999997</v>
      </c>
      <c r="X19" s="13">
        <f>+W19+G19</f>
        <v>420727.81000000006</v>
      </c>
    </row>
    <row r="20" spans="1:24" ht="15" thickBot="1" x14ac:dyDescent="0.4">
      <c r="A20" s="8" t="s">
        <v>36</v>
      </c>
      <c r="B20" s="23">
        <v>0</v>
      </c>
      <c r="C20" s="10">
        <v>0</v>
      </c>
      <c r="D20" s="15"/>
      <c r="E20" s="15"/>
      <c r="F20" s="12">
        <f t="shared" si="10"/>
        <v>0</v>
      </c>
      <c r="G20" s="13">
        <f t="shared" si="11"/>
        <v>0</v>
      </c>
      <c r="H20" s="11">
        <f>108750+58899+H45</f>
        <v>136203.74</v>
      </c>
      <c r="I20" s="15"/>
      <c r="J20" s="15"/>
      <c r="K20" s="11">
        <f>7220.4+K45</f>
        <v>8213.34</v>
      </c>
      <c r="L20" s="11">
        <f>0 + L45</f>
        <v>0</v>
      </c>
      <c r="M20" s="11">
        <f>81313.59 + M45</f>
        <v>82758.64</v>
      </c>
      <c r="N20" s="15">
        <f>0+N45</f>
        <v>0</v>
      </c>
      <c r="O20" s="15"/>
      <c r="P20" s="15"/>
      <c r="Q20" s="13">
        <f>SUM(H20:P20)</f>
        <v>227175.71999999997</v>
      </c>
      <c r="R20" s="11">
        <f>14364.48+R45</f>
        <v>7693.97</v>
      </c>
      <c r="S20" s="11">
        <f>728.31+S45</f>
        <v>377.23999999999995</v>
      </c>
      <c r="T20" s="11">
        <f>10413.76+T45</f>
        <v>10108.119999999999</v>
      </c>
      <c r="U20" s="29">
        <f>1537.85+U45</f>
        <v>1780.79</v>
      </c>
      <c r="V20" s="13">
        <f>SUM(R20:U20)</f>
        <v>19960.12</v>
      </c>
      <c r="W20" s="13">
        <f>+V20+Q20</f>
        <v>247135.83999999997</v>
      </c>
      <c r="X20" s="13">
        <f>+W20+G20</f>
        <v>247135.83999999997</v>
      </c>
    </row>
    <row r="21" spans="1:24" ht="15" thickBot="1" x14ac:dyDescent="0.4">
      <c r="A21" s="8" t="s">
        <v>37</v>
      </c>
      <c r="B21" s="9">
        <f>3747+6572+18731+93943</f>
        <v>122993</v>
      </c>
      <c r="C21" s="15"/>
      <c r="D21" s="15"/>
      <c r="E21" s="15"/>
      <c r="F21" s="12">
        <f t="shared" si="10"/>
        <v>0</v>
      </c>
      <c r="G21" s="13">
        <f t="shared" si="11"/>
        <v>122993</v>
      </c>
      <c r="H21" s="15"/>
      <c r="I21" s="15"/>
      <c r="J21" s="15"/>
      <c r="K21" s="15"/>
      <c r="L21" s="15"/>
      <c r="M21" s="15"/>
      <c r="N21" s="15"/>
      <c r="O21" s="15"/>
      <c r="P21" s="15"/>
      <c r="Q21" s="13">
        <f>SUM(H21:P21)</f>
        <v>0</v>
      </c>
      <c r="R21" s="15"/>
      <c r="S21" s="15"/>
      <c r="T21" s="15"/>
      <c r="U21" s="15"/>
      <c r="V21" s="13">
        <f>SUM(R21:U21)</f>
        <v>0</v>
      </c>
      <c r="W21" s="13">
        <f>+V21+Q21</f>
        <v>0</v>
      </c>
      <c r="X21" s="13">
        <f>+W21+G21</f>
        <v>122993</v>
      </c>
    </row>
    <row r="22" spans="1:24" ht="15" thickBot="1" x14ac:dyDescent="0.4">
      <c r="A22" s="8" t="s">
        <v>38</v>
      </c>
      <c r="B22" s="9">
        <f>83+482187.8+B45</f>
        <v>699477.66000000038</v>
      </c>
      <c r="C22" s="15"/>
      <c r="D22" s="15"/>
      <c r="E22" s="15"/>
      <c r="F22" s="12">
        <f t="shared" si="10"/>
        <v>0</v>
      </c>
      <c r="G22" s="13">
        <f t="shared" si="11"/>
        <v>699477.66000000038</v>
      </c>
      <c r="H22" s="15"/>
      <c r="I22" s="15"/>
      <c r="J22" s="15"/>
      <c r="K22" s="15"/>
      <c r="L22" s="15"/>
      <c r="M22" s="15"/>
      <c r="N22" s="15"/>
      <c r="O22" s="15"/>
      <c r="P22" s="15"/>
      <c r="Q22" s="13">
        <f>SUM(H22:P22)</f>
        <v>0</v>
      </c>
      <c r="R22" s="15"/>
      <c r="S22" s="15"/>
      <c r="T22" s="15"/>
      <c r="V22" s="13">
        <f>SUM(R22:U22)</f>
        <v>0</v>
      </c>
      <c r="W22" s="13">
        <f>+V22+Q22</f>
        <v>0</v>
      </c>
      <c r="X22" s="13">
        <f>+W22+G22</f>
        <v>699477.66000000038</v>
      </c>
    </row>
    <row r="23" spans="1:24" ht="15" thickBot="1" x14ac:dyDescent="0.4">
      <c r="A23" s="16" t="s">
        <v>39</v>
      </c>
      <c r="B23" s="17">
        <f>SUM(B18:B22)</f>
        <v>822470.66000000038</v>
      </c>
      <c r="C23" s="17">
        <f t="shared" ref="C23:X23" si="12">SUM(C18:C22)</f>
        <v>0</v>
      </c>
      <c r="D23" s="17">
        <f t="shared" si="12"/>
        <v>296236.27</v>
      </c>
      <c r="E23" s="17">
        <f t="shared" si="12"/>
        <v>84217.45</v>
      </c>
      <c r="F23" s="17">
        <f t="shared" si="12"/>
        <v>380453.72000000003</v>
      </c>
      <c r="G23" s="17">
        <f t="shared" si="12"/>
        <v>1202924.3800000004</v>
      </c>
      <c r="H23" s="17">
        <f t="shared" si="12"/>
        <v>136203.74</v>
      </c>
      <c r="I23" s="17">
        <f t="shared" si="12"/>
        <v>16844.650000000001</v>
      </c>
      <c r="J23" s="17">
        <f t="shared" si="12"/>
        <v>9055.35</v>
      </c>
      <c r="K23" s="17">
        <f t="shared" si="12"/>
        <v>8213.34</v>
      </c>
      <c r="L23" s="17">
        <f t="shared" si="12"/>
        <v>0</v>
      </c>
      <c r="M23" s="17">
        <f t="shared" ref="M23" si="13">SUM(M18:M22)</f>
        <v>82758.64</v>
      </c>
      <c r="N23" s="17">
        <f t="shared" ref="N23" si="14">SUM(N18:N22)</f>
        <v>-8415</v>
      </c>
      <c r="O23" s="17"/>
      <c r="P23" s="17">
        <f t="shared" si="12"/>
        <v>22789.089999999997</v>
      </c>
      <c r="Q23" s="17">
        <f t="shared" si="12"/>
        <v>267449.80999999994</v>
      </c>
      <c r="R23" s="17">
        <f t="shared" si="12"/>
        <v>107693.97</v>
      </c>
      <c r="S23" s="17">
        <f t="shared" si="12"/>
        <v>5377.24</v>
      </c>
      <c r="T23" s="17">
        <f t="shared" si="12"/>
        <v>84857.62</v>
      </c>
      <c r="U23" s="17">
        <f>SUM(U18:U21)</f>
        <v>11780.79</v>
      </c>
      <c r="V23" s="17">
        <f t="shared" si="12"/>
        <v>209709.62</v>
      </c>
      <c r="W23" s="17">
        <f t="shared" si="12"/>
        <v>477159.42999999993</v>
      </c>
      <c r="X23" s="17">
        <f t="shared" si="12"/>
        <v>1680083.8100000005</v>
      </c>
    </row>
    <row r="24" spans="1:24" s="27" customFormat="1" ht="15" thickBot="1" x14ac:dyDescent="0.4">
      <c r="A24" s="24" t="s">
        <v>40</v>
      </c>
      <c r="B24" s="24">
        <f>+B10-B15-B23</f>
        <v>0</v>
      </c>
      <c r="C24" s="24">
        <f t="shared" ref="C24:X24" si="15">+C10-C15-C23</f>
        <v>0</v>
      </c>
      <c r="D24" s="24">
        <f t="shared" si="15"/>
        <v>0</v>
      </c>
      <c r="E24" s="24">
        <f t="shared" si="15"/>
        <v>0</v>
      </c>
      <c r="F24" s="24">
        <f t="shared" si="15"/>
        <v>0</v>
      </c>
      <c r="G24" s="24">
        <f t="shared" si="15"/>
        <v>0</v>
      </c>
      <c r="H24" s="24">
        <f t="shared" si="15"/>
        <v>0</v>
      </c>
      <c r="I24" s="24">
        <f t="shared" si="15"/>
        <v>0</v>
      </c>
      <c r="J24" s="24">
        <f t="shared" si="15"/>
        <v>0</v>
      </c>
      <c r="K24" s="24">
        <f t="shared" si="15"/>
        <v>0</v>
      </c>
      <c r="L24" s="24">
        <f t="shared" si="15"/>
        <v>0</v>
      </c>
      <c r="M24" s="24">
        <f t="shared" ref="M24:N24" si="16">+M10-M15-M23</f>
        <v>0</v>
      </c>
      <c r="N24" s="24">
        <f t="shared" si="16"/>
        <v>0</v>
      </c>
      <c r="O24" s="24"/>
      <c r="P24" s="24">
        <f t="shared" si="15"/>
        <v>0</v>
      </c>
      <c r="Q24" s="24">
        <f t="shared" si="15"/>
        <v>0</v>
      </c>
      <c r="R24" s="28">
        <f t="shared" si="15"/>
        <v>0</v>
      </c>
      <c r="S24" s="28">
        <f t="shared" si="15"/>
        <v>0</v>
      </c>
      <c r="T24" s="24">
        <f t="shared" si="15"/>
        <v>0</v>
      </c>
      <c r="U24" s="24">
        <f t="shared" si="15"/>
        <v>0</v>
      </c>
      <c r="V24" s="24">
        <f t="shared" si="15"/>
        <v>0</v>
      </c>
      <c r="W24" s="24">
        <f t="shared" si="15"/>
        <v>0</v>
      </c>
      <c r="X24" s="24">
        <f t="shared" si="15"/>
        <v>0</v>
      </c>
    </row>
    <row r="25" spans="1:24" ht="15" thickBot="1" x14ac:dyDescent="0.4">
      <c r="A25" s="6" t="s">
        <v>41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" thickBot="1" x14ac:dyDescent="0.4">
      <c r="A26" s="8" t="s">
        <v>42</v>
      </c>
      <c r="B26" s="23">
        <v>0</v>
      </c>
      <c r="C26" s="15">
        <v>0</v>
      </c>
      <c r="D26" s="19">
        <v>5000</v>
      </c>
      <c r="E26" s="15"/>
      <c r="F26" s="12">
        <f t="shared" ref="F26:F32" si="17">SUM(D26:E26)</f>
        <v>5000</v>
      </c>
      <c r="G26" s="13">
        <f t="shared" ref="G26:G32" si="18">+B26+C26+F26</f>
        <v>5000</v>
      </c>
      <c r="H26" s="15"/>
      <c r="I26" s="11">
        <v>415.7</v>
      </c>
      <c r="J26" s="11">
        <v>667</v>
      </c>
      <c r="K26" s="19">
        <v>1119.7</v>
      </c>
      <c r="L26" s="15">
        <v>0</v>
      </c>
      <c r="M26" s="15">
        <v>0</v>
      </c>
      <c r="N26" s="11">
        <v>18900</v>
      </c>
      <c r="O26" s="11">
        <v>1968</v>
      </c>
      <c r="P26" s="10">
        <v>1630</v>
      </c>
      <c r="Q26" s="13">
        <f t="shared" ref="Q26:Q32" si="19">SUM(H26:P26)</f>
        <v>24700.400000000001</v>
      </c>
      <c r="R26" s="15"/>
      <c r="S26" s="15" t="s">
        <v>59</v>
      </c>
      <c r="T26" s="11">
        <v>750</v>
      </c>
      <c r="U26" s="15"/>
      <c r="V26" s="13">
        <f>SUM(R26:U26)</f>
        <v>750</v>
      </c>
      <c r="W26" s="13">
        <f t="shared" ref="W26:W32" si="20">+V26+Q26</f>
        <v>25450.400000000001</v>
      </c>
      <c r="X26" s="13">
        <f t="shared" ref="X26:X32" si="21">+W26+G26</f>
        <v>30450.400000000001</v>
      </c>
    </row>
    <row r="27" spans="1:24" ht="15" thickBot="1" x14ac:dyDescent="0.4">
      <c r="A27" s="8" t="s">
        <v>43</v>
      </c>
      <c r="B27" s="9">
        <v>32244.37</v>
      </c>
      <c r="C27" s="15"/>
      <c r="D27" s="15"/>
      <c r="E27" s="15"/>
      <c r="F27" s="12">
        <f t="shared" si="17"/>
        <v>0</v>
      </c>
      <c r="G27" s="13">
        <f t="shared" si="18"/>
        <v>32244.37</v>
      </c>
      <c r="H27" s="15"/>
      <c r="I27" s="15"/>
      <c r="J27" s="15"/>
      <c r="K27" s="15"/>
      <c r="L27" s="15"/>
      <c r="M27" s="15"/>
      <c r="N27" s="15"/>
      <c r="O27" s="15"/>
      <c r="P27" s="15"/>
      <c r="Q27" s="13">
        <f t="shared" si="19"/>
        <v>0</v>
      </c>
      <c r="R27" s="15"/>
      <c r="S27" s="15"/>
      <c r="T27" s="15"/>
      <c r="U27" s="15"/>
      <c r="V27" s="13"/>
      <c r="W27" s="13">
        <f t="shared" si="20"/>
        <v>0</v>
      </c>
      <c r="X27" s="13">
        <f t="shared" si="21"/>
        <v>32244.37</v>
      </c>
    </row>
    <row r="28" spans="1:24" ht="15" thickBot="1" x14ac:dyDescent="0.4">
      <c r="A28" s="8" t="s">
        <v>44</v>
      </c>
      <c r="B28" s="9">
        <v>2816462.64</v>
      </c>
      <c r="C28" s="15"/>
      <c r="D28" s="15"/>
      <c r="E28" s="15"/>
      <c r="F28" s="12">
        <f t="shared" si="17"/>
        <v>0</v>
      </c>
      <c r="G28" s="13">
        <f t="shared" si="18"/>
        <v>2816462.64</v>
      </c>
      <c r="H28" s="15"/>
      <c r="I28" s="15"/>
      <c r="J28" s="15"/>
      <c r="K28" s="15"/>
      <c r="L28" s="15"/>
      <c r="M28" s="15"/>
      <c r="N28" s="15"/>
      <c r="O28" s="15"/>
      <c r="P28" s="15"/>
      <c r="Q28" s="13">
        <f t="shared" si="19"/>
        <v>0</v>
      </c>
      <c r="R28" s="15"/>
      <c r="S28" s="15"/>
      <c r="T28" s="15"/>
      <c r="U28" s="15"/>
      <c r="V28" s="13"/>
      <c r="W28" s="13">
        <f t="shared" si="20"/>
        <v>0</v>
      </c>
      <c r="X28" s="13">
        <f t="shared" si="21"/>
        <v>2816462.64</v>
      </c>
    </row>
    <row r="29" spans="1:24" ht="15" thickBot="1" x14ac:dyDescent="0.4">
      <c r="A29" s="8" t="s">
        <v>45</v>
      </c>
      <c r="B29" s="9">
        <v>33659.839999999997</v>
      </c>
      <c r="C29" s="15"/>
      <c r="D29" s="15"/>
      <c r="E29" s="15"/>
      <c r="F29" s="12">
        <f t="shared" si="17"/>
        <v>0</v>
      </c>
      <c r="G29" s="13">
        <f t="shared" si="18"/>
        <v>33659.839999999997</v>
      </c>
      <c r="H29" s="15"/>
      <c r="I29" s="15"/>
      <c r="J29" s="15"/>
      <c r="K29" s="15"/>
      <c r="L29" s="15"/>
      <c r="M29" s="15"/>
      <c r="N29" s="15"/>
      <c r="O29" s="15"/>
      <c r="P29" s="15"/>
      <c r="Q29" s="13">
        <f t="shared" si="19"/>
        <v>0</v>
      </c>
      <c r="R29" s="15"/>
      <c r="S29" s="15"/>
      <c r="T29" s="15"/>
      <c r="U29" s="15"/>
      <c r="V29" s="13"/>
      <c r="W29" s="13">
        <f t="shared" si="20"/>
        <v>0</v>
      </c>
      <c r="X29" s="13">
        <f t="shared" si="21"/>
        <v>33659.839999999997</v>
      </c>
    </row>
    <row r="30" spans="1:24" ht="15" thickBot="1" x14ac:dyDescent="0.4">
      <c r="A30" s="8" t="s">
        <v>46</v>
      </c>
      <c r="B30" s="9">
        <v>355272.58</v>
      </c>
      <c r="C30" s="10">
        <v>0</v>
      </c>
      <c r="D30" s="15"/>
      <c r="E30" s="15"/>
      <c r="F30" s="12">
        <f t="shared" si="17"/>
        <v>0</v>
      </c>
      <c r="G30" s="13">
        <f t="shared" si="18"/>
        <v>355272.58</v>
      </c>
      <c r="H30" s="11">
        <v>101836.68</v>
      </c>
      <c r="I30" s="11">
        <v>0</v>
      </c>
      <c r="J30" s="15"/>
      <c r="K30" s="15"/>
      <c r="L30" s="15">
        <v>0</v>
      </c>
      <c r="M30" s="15">
        <v>0</v>
      </c>
      <c r="N30" s="15"/>
      <c r="O30" s="15"/>
      <c r="P30" s="15"/>
      <c r="Q30" s="13">
        <f t="shared" si="19"/>
        <v>101836.68</v>
      </c>
      <c r="R30" s="15"/>
      <c r="S30" s="15"/>
      <c r="T30" s="15"/>
      <c r="U30" s="15"/>
      <c r="V30" s="13"/>
      <c r="W30" s="13">
        <f t="shared" si="20"/>
        <v>101836.68</v>
      </c>
      <c r="X30" s="13">
        <f t="shared" si="21"/>
        <v>457109.26</v>
      </c>
    </row>
    <row r="31" spans="1:24" ht="15" thickBot="1" x14ac:dyDescent="0.4">
      <c r="A31" s="8" t="s">
        <v>47</v>
      </c>
      <c r="B31" s="23"/>
      <c r="C31" s="15"/>
      <c r="D31" s="15" t="s">
        <v>59</v>
      </c>
      <c r="E31" s="15"/>
      <c r="F31" s="12">
        <f t="shared" si="17"/>
        <v>0</v>
      </c>
      <c r="G31" s="13">
        <f t="shared" si="18"/>
        <v>0</v>
      </c>
      <c r="H31" s="15">
        <v>0</v>
      </c>
      <c r="I31" s="11">
        <v>5227.3500000000004</v>
      </c>
      <c r="J31" s="15"/>
      <c r="K31" s="15"/>
      <c r="L31" s="15"/>
      <c r="M31" s="15"/>
      <c r="N31" s="19">
        <v>0</v>
      </c>
      <c r="O31" s="19"/>
      <c r="P31" s="19">
        <v>0</v>
      </c>
      <c r="Q31" s="13">
        <f t="shared" si="19"/>
        <v>5227.3500000000004</v>
      </c>
      <c r="R31" s="15"/>
      <c r="S31" s="15"/>
      <c r="T31" s="15"/>
      <c r="U31" s="15"/>
      <c r="V31" s="13"/>
      <c r="W31" s="13">
        <f t="shared" si="20"/>
        <v>5227.3500000000004</v>
      </c>
      <c r="X31" s="13">
        <f t="shared" si="21"/>
        <v>5227.3500000000004</v>
      </c>
    </row>
    <row r="32" spans="1:24" ht="15" thickBot="1" x14ac:dyDescent="0.4">
      <c r="A32" s="8" t="s">
        <v>48</v>
      </c>
      <c r="B32" s="23"/>
      <c r="C32" s="10">
        <v>0</v>
      </c>
      <c r="D32" s="11">
        <v>6990.75</v>
      </c>
      <c r="E32" s="11">
        <v>1239.3599999999999</v>
      </c>
      <c r="F32" s="12">
        <f t="shared" si="17"/>
        <v>8230.11</v>
      </c>
      <c r="G32" s="13">
        <f t="shared" si="18"/>
        <v>8230.11</v>
      </c>
      <c r="H32" s="14">
        <v>3508.76</v>
      </c>
      <c r="I32" s="11">
        <v>0.92</v>
      </c>
      <c r="J32" s="11">
        <v>181.76</v>
      </c>
      <c r="K32" s="11">
        <v>149.71</v>
      </c>
      <c r="L32" s="15"/>
      <c r="M32" s="12">
        <v>1445.05</v>
      </c>
      <c r="N32" s="11">
        <v>0</v>
      </c>
      <c r="O32" s="11"/>
      <c r="P32" s="11">
        <v>463.74</v>
      </c>
      <c r="Q32" s="13">
        <f t="shared" si="19"/>
        <v>5749.9400000000005</v>
      </c>
      <c r="R32" s="11">
        <v>2028.95</v>
      </c>
      <c r="S32" s="11">
        <v>104.54</v>
      </c>
      <c r="T32" s="11">
        <v>1774.36</v>
      </c>
      <c r="U32" s="11">
        <v>242.94</v>
      </c>
      <c r="V32" s="13">
        <f>SUM(R32:U32)</f>
        <v>4150.79</v>
      </c>
      <c r="W32" s="13">
        <f t="shared" si="20"/>
        <v>9900.73</v>
      </c>
      <c r="X32" s="13">
        <f t="shared" si="21"/>
        <v>18130.84</v>
      </c>
    </row>
    <row r="33" spans="1:24" ht="15" thickBot="1" x14ac:dyDescent="0.4">
      <c r="A33" s="16" t="s">
        <v>49</v>
      </c>
      <c r="B33" s="17">
        <f>SUM(B26:B32)</f>
        <v>3237639.43</v>
      </c>
      <c r="C33" s="17">
        <f t="shared" ref="C33:X33" si="22">SUM(C26:C32)</f>
        <v>0</v>
      </c>
      <c r="D33" s="17">
        <f t="shared" si="22"/>
        <v>11990.75</v>
      </c>
      <c r="E33" s="17">
        <f t="shared" si="22"/>
        <v>1239.3599999999999</v>
      </c>
      <c r="F33" s="17">
        <f t="shared" si="22"/>
        <v>13230.11</v>
      </c>
      <c r="G33" s="17">
        <f t="shared" si="22"/>
        <v>3250869.54</v>
      </c>
      <c r="H33" s="17">
        <f t="shared" si="22"/>
        <v>105345.43999999999</v>
      </c>
      <c r="I33" s="17">
        <f t="shared" si="22"/>
        <v>5643.97</v>
      </c>
      <c r="J33" s="17">
        <f>SUM(J26:J32)</f>
        <v>848.76</v>
      </c>
      <c r="K33" s="17">
        <f t="shared" si="22"/>
        <v>1269.4100000000001</v>
      </c>
      <c r="L33" s="17">
        <f t="shared" si="22"/>
        <v>0</v>
      </c>
      <c r="M33" s="17">
        <f t="shared" ref="M33" si="23">SUM(M26:M32)</f>
        <v>1445.05</v>
      </c>
      <c r="N33" s="17">
        <f t="shared" ref="N33" si="24">SUM(N26:N32)</f>
        <v>18900</v>
      </c>
      <c r="O33" s="17"/>
      <c r="P33" s="17">
        <f t="shared" si="22"/>
        <v>2093.7399999999998</v>
      </c>
      <c r="Q33" s="17">
        <f t="shared" si="22"/>
        <v>137514.37</v>
      </c>
      <c r="R33" s="17">
        <f t="shared" si="22"/>
        <v>2028.95</v>
      </c>
      <c r="S33" s="17">
        <f t="shared" si="22"/>
        <v>104.54</v>
      </c>
      <c r="T33" s="17">
        <f t="shared" si="22"/>
        <v>2524.3599999999997</v>
      </c>
      <c r="U33" s="17">
        <f t="shared" si="22"/>
        <v>242.94</v>
      </c>
      <c r="V33" s="17">
        <f t="shared" si="22"/>
        <v>4900.79</v>
      </c>
      <c r="W33" s="17">
        <f t="shared" si="22"/>
        <v>142415.16</v>
      </c>
      <c r="X33" s="17">
        <f t="shared" si="22"/>
        <v>3393284.6999999997</v>
      </c>
    </row>
    <row r="34" spans="1:24" ht="15" thickBot="1" x14ac:dyDescent="0.4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thickBot="1" x14ac:dyDescent="0.4">
      <c r="A35" s="8" t="s">
        <v>50</v>
      </c>
      <c r="B35" s="23"/>
      <c r="C35" s="11">
        <v>0</v>
      </c>
      <c r="D35" s="15">
        <v>194021</v>
      </c>
      <c r="E35" s="15">
        <v>0</v>
      </c>
      <c r="F35" s="12">
        <f t="shared" ref="F35:F40" si="25">SUM(D35:E35)</f>
        <v>194021</v>
      </c>
      <c r="G35" s="13">
        <f t="shared" ref="G35:G40" si="26">+B35+C35+F35</f>
        <v>194021</v>
      </c>
      <c r="H35" s="11">
        <v>96170.7</v>
      </c>
      <c r="I35" s="11">
        <v>3983.13</v>
      </c>
      <c r="J35" s="11">
        <v>787</v>
      </c>
      <c r="K35" s="15">
        <v>276.47000000000003</v>
      </c>
      <c r="L35" s="19">
        <v>40620</v>
      </c>
      <c r="M35" s="19">
        <v>0</v>
      </c>
      <c r="N35" s="11">
        <v>18900</v>
      </c>
      <c r="O35" s="11">
        <v>1968</v>
      </c>
      <c r="P35" s="10">
        <v>1140</v>
      </c>
      <c r="Q35" s="13">
        <f t="shared" ref="Q35:Q40" si="27">SUM(H35:P35)</f>
        <v>163845.29999999999</v>
      </c>
      <c r="R35" s="19">
        <v>9181.75</v>
      </c>
      <c r="S35" s="10">
        <v>483.25</v>
      </c>
      <c r="T35" s="11">
        <v>2830</v>
      </c>
      <c r="U35" s="15"/>
      <c r="V35" s="13">
        <f t="shared" ref="V35:V40" si="28">SUM(R35:U35)</f>
        <v>12495</v>
      </c>
      <c r="W35" s="13">
        <f t="shared" ref="W35:W43" si="29">+V35+Q35</f>
        <v>176340.3</v>
      </c>
      <c r="X35" s="13">
        <f t="shared" ref="X35:X40" si="30">+W35+G35</f>
        <v>370361.3</v>
      </c>
    </row>
    <row r="36" spans="1:24" ht="15" thickBot="1" x14ac:dyDescent="0.4">
      <c r="A36" s="8" t="s">
        <v>51</v>
      </c>
      <c r="B36" s="9">
        <f>1152246.89-250000-52105.5</f>
        <v>850141.3899999999</v>
      </c>
      <c r="C36" s="15"/>
      <c r="D36" s="15"/>
      <c r="E36" s="15"/>
      <c r="F36" s="12">
        <f t="shared" si="25"/>
        <v>0</v>
      </c>
      <c r="G36" s="13">
        <f t="shared" si="26"/>
        <v>850141.3899999999</v>
      </c>
      <c r="H36" s="15"/>
      <c r="I36" s="15"/>
      <c r="J36" s="15"/>
      <c r="K36" s="15"/>
      <c r="L36" s="15"/>
      <c r="M36" s="15"/>
      <c r="N36" s="15"/>
      <c r="O36" s="15"/>
      <c r="P36" s="15"/>
      <c r="Q36" s="13">
        <f t="shared" si="27"/>
        <v>0</v>
      </c>
      <c r="R36" s="15"/>
      <c r="S36" s="15">
        <v>0</v>
      </c>
      <c r="T36" s="15"/>
      <c r="U36" s="15"/>
      <c r="V36" s="13">
        <f t="shared" si="28"/>
        <v>0</v>
      </c>
      <c r="W36" s="13">
        <f t="shared" si="29"/>
        <v>0</v>
      </c>
      <c r="X36" s="13">
        <f t="shared" si="30"/>
        <v>850141.3899999999</v>
      </c>
    </row>
    <row r="37" spans="1:24" ht="26.5" thickBot="1" x14ac:dyDescent="0.4">
      <c r="A37" s="8" t="s">
        <v>52</v>
      </c>
      <c r="B37" s="38">
        <v>52105.5</v>
      </c>
      <c r="C37" s="15"/>
      <c r="D37" s="15"/>
      <c r="E37" s="15"/>
      <c r="F37" s="12">
        <f t="shared" si="25"/>
        <v>0</v>
      </c>
      <c r="G37" s="13">
        <f t="shared" si="26"/>
        <v>52105.5</v>
      </c>
      <c r="H37" s="15"/>
      <c r="I37" s="19"/>
      <c r="J37" s="15"/>
      <c r="K37" s="15"/>
      <c r="L37" s="15"/>
      <c r="M37" s="15"/>
      <c r="N37" s="15"/>
      <c r="O37" s="15"/>
      <c r="P37" s="15"/>
      <c r="Q37" s="13">
        <f t="shared" si="27"/>
        <v>0</v>
      </c>
      <c r="R37" s="15"/>
      <c r="S37" s="15"/>
      <c r="T37" s="15"/>
      <c r="U37" s="15"/>
      <c r="V37" s="13">
        <f t="shared" si="28"/>
        <v>0</v>
      </c>
      <c r="W37" s="13">
        <f t="shared" si="29"/>
        <v>0</v>
      </c>
      <c r="X37" s="13">
        <f t="shared" si="30"/>
        <v>52105.5</v>
      </c>
    </row>
    <row r="38" spans="1:24" ht="15" thickBot="1" x14ac:dyDescent="0.4">
      <c r="A38" s="8" t="s">
        <v>53</v>
      </c>
      <c r="B38" s="9">
        <v>1116079.5900000001</v>
      </c>
      <c r="C38" s="15"/>
      <c r="D38" s="15"/>
      <c r="E38" s="15"/>
      <c r="F38" s="12">
        <f t="shared" si="25"/>
        <v>0</v>
      </c>
      <c r="G38" s="13">
        <f t="shared" si="26"/>
        <v>1116079.5900000001</v>
      </c>
      <c r="H38" s="15"/>
      <c r="I38" s="15"/>
      <c r="J38" s="15"/>
      <c r="K38" s="15"/>
      <c r="L38" s="15"/>
      <c r="M38" s="15"/>
      <c r="N38" s="15"/>
      <c r="O38" s="15"/>
      <c r="P38" s="15"/>
      <c r="Q38" s="13">
        <f t="shared" si="27"/>
        <v>0</v>
      </c>
      <c r="R38" s="15"/>
      <c r="S38" s="15"/>
      <c r="T38" s="15"/>
      <c r="U38" s="15"/>
      <c r="V38" s="13">
        <f t="shared" si="28"/>
        <v>0</v>
      </c>
      <c r="W38" s="13">
        <f t="shared" si="29"/>
        <v>0</v>
      </c>
      <c r="X38" s="13">
        <f t="shared" si="30"/>
        <v>1116079.5900000001</v>
      </c>
    </row>
    <row r="39" spans="1:24" ht="15" thickBot="1" x14ac:dyDescent="0.4">
      <c r="A39" s="8" t="s">
        <v>54</v>
      </c>
      <c r="B39" s="9">
        <v>752106.09</v>
      </c>
      <c r="C39" s="15"/>
      <c r="D39" s="15"/>
      <c r="E39" s="15"/>
      <c r="F39" s="12">
        <f t="shared" si="25"/>
        <v>0</v>
      </c>
      <c r="G39" s="13">
        <f t="shared" si="26"/>
        <v>752106.09</v>
      </c>
      <c r="H39" s="15"/>
      <c r="I39" s="15"/>
      <c r="J39" s="15"/>
      <c r="K39" s="15"/>
      <c r="L39" s="15"/>
      <c r="M39" s="15"/>
      <c r="N39" s="15"/>
      <c r="O39" s="15"/>
      <c r="P39" s="15"/>
      <c r="Q39" s="13">
        <f t="shared" si="27"/>
        <v>0</v>
      </c>
      <c r="R39" s="15"/>
      <c r="S39" s="15"/>
      <c r="T39" s="15"/>
      <c r="U39" s="15"/>
      <c r="V39" s="13">
        <f t="shared" si="28"/>
        <v>0</v>
      </c>
      <c r="W39" s="13">
        <f t="shared" si="29"/>
        <v>0</v>
      </c>
      <c r="X39" s="13">
        <f t="shared" si="30"/>
        <v>752106.09</v>
      </c>
    </row>
    <row r="40" spans="1:24" ht="15" thickBot="1" x14ac:dyDescent="0.4">
      <c r="A40" s="8" t="s">
        <v>55</v>
      </c>
      <c r="B40" s="23">
        <v>0</v>
      </c>
      <c r="C40" s="19">
        <v>0</v>
      </c>
      <c r="D40" s="12" t="s">
        <v>59</v>
      </c>
      <c r="E40" s="15"/>
      <c r="F40" s="12">
        <f t="shared" si="25"/>
        <v>0</v>
      </c>
      <c r="G40" s="13">
        <f t="shared" si="26"/>
        <v>0</v>
      </c>
      <c r="H40" s="15" t="s">
        <v>59</v>
      </c>
      <c r="I40" s="15"/>
      <c r="J40" s="15">
        <v>0</v>
      </c>
      <c r="K40" s="15"/>
      <c r="L40" s="15"/>
      <c r="M40" s="15"/>
      <c r="N40" s="15"/>
      <c r="O40" s="15"/>
      <c r="P40" s="15"/>
      <c r="Q40" s="13">
        <f t="shared" si="27"/>
        <v>0</v>
      </c>
      <c r="R40" s="11">
        <v>-482.29</v>
      </c>
      <c r="S40" s="11">
        <v>-27.64</v>
      </c>
      <c r="T40" s="15"/>
      <c r="U40" s="15"/>
      <c r="V40" s="13">
        <f t="shared" si="28"/>
        <v>-509.93</v>
      </c>
      <c r="W40" s="13">
        <f t="shared" si="29"/>
        <v>-509.93</v>
      </c>
      <c r="X40" s="13">
        <f t="shared" si="30"/>
        <v>-509.93</v>
      </c>
    </row>
    <row r="41" spans="1:24" ht="15" thickBot="1" x14ac:dyDescent="0.4">
      <c r="A41" s="16" t="s">
        <v>56</v>
      </c>
      <c r="B41" s="17">
        <f>SUM(B35:B40)</f>
        <v>2770432.57</v>
      </c>
      <c r="C41" s="17">
        <f t="shared" ref="C41:X41" si="31">SUM(C35:C40)</f>
        <v>0</v>
      </c>
      <c r="D41" s="17">
        <f t="shared" si="31"/>
        <v>194021</v>
      </c>
      <c r="E41" s="17">
        <v>0</v>
      </c>
      <c r="F41" s="17">
        <f t="shared" si="31"/>
        <v>194021</v>
      </c>
      <c r="G41" s="17">
        <f t="shared" si="31"/>
        <v>2964453.57</v>
      </c>
      <c r="H41" s="17">
        <f t="shared" si="31"/>
        <v>96170.7</v>
      </c>
      <c r="I41" s="17">
        <f t="shared" si="31"/>
        <v>3983.13</v>
      </c>
      <c r="J41" s="17">
        <f t="shared" si="31"/>
        <v>787</v>
      </c>
      <c r="K41" s="17">
        <f t="shared" si="31"/>
        <v>276.47000000000003</v>
      </c>
      <c r="L41" s="17">
        <f t="shared" si="31"/>
        <v>40620</v>
      </c>
      <c r="M41" s="17">
        <f t="shared" ref="M41" si="32">SUM(M35:M40)</f>
        <v>0</v>
      </c>
      <c r="N41" s="17">
        <f t="shared" ref="N41" si="33">SUM(N35:N40)</f>
        <v>18900</v>
      </c>
      <c r="O41" s="17"/>
      <c r="P41" s="17">
        <f t="shared" si="31"/>
        <v>1140</v>
      </c>
      <c r="Q41" s="17">
        <f t="shared" si="31"/>
        <v>163845.29999999999</v>
      </c>
      <c r="R41" s="17">
        <f t="shared" si="31"/>
        <v>8699.4599999999991</v>
      </c>
      <c r="S41" s="17">
        <f t="shared" si="31"/>
        <v>455.61</v>
      </c>
      <c r="T41" s="17">
        <f t="shared" si="31"/>
        <v>2830</v>
      </c>
      <c r="U41" s="17">
        <f t="shared" si="31"/>
        <v>0</v>
      </c>
      <c r="V41" s="17">
        <f t="shared" si="31"/>
        <v>11985.07</v>
      </c>
      <c r="W41" s="13">
        <f t="shared" si="29"/>
        <v>175830.37</v>
      </c>
      <c r="X41" s="17">
        <f t="shared" si="31"/>
        <v>3140283.94</v>
      </c>
    </row>
    <row r="42" spans="1:24" ht="15" thickBot="1" x14ac:dyDescent="0.4">
      <c r="A42" s="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3">
        <f t="shared" si="29"/>
        <v>0</v>
      </c>
      <c r="X42" s="18"/>
    </row>
    <row r="43" spans="1:24" ht="15" thickBot="1" x14ac:dyDescent="0.4">
      <c r="A43" s="8" t="s">
        <v>57</v>
      </c>
      <c r="B43" s="23">
        <f>-250000-0</f>
        <v>-250000</v>
      </c>
      <c r="C43" s="15">
        <v>0</v>
      </c>
      <c r="D43" s="15">
        <v>250000</v>
      </c>
      <c r="E43" s="15"/>
      <c r="F43" s="12">
        <f>D43+E43</f>
        <v>250000</v>
      </c>
      <c r="G43" s="13">
        <f>+B43+C43+F43</f>
        <v>0</v>
      </c>
      <c r="H43" s="15">
        <v>-40620</v>
      </c>
      <c r="I43" s="15">
        <v>0</v>
      </c>
      <c r="J43" s="15"/>
      <c r="K43" s="15"/>
      <c r="L43" s="15">
        <v>40620</v>
      </c>
      <c r="M43" s="15"/>
      <c r="N43" s="15">
        <v>0</v>
      </c>
      <c r="O43" s="15"/>
      <c r="P43" s="15"/>
      <c r="Q43" s="13">
        <v>0</v>
      </c>
      <c r="R43" s="18">
        <v>0</v>
      </c>
      <c r="S43" s="18">
        <v>0</v>
      </c>
      <c r="T43" s="15"/>
      <c r="U43" s="15"/>
      <c r="V43" s="13">
        <f>SUM(R43:U43)</f>
        <v>0</v>
      </c>
      <c r="W43" s="13">
        <f t="shared" si="29"/>
        <v>0</v>
      </c>
      <c r="X43" s="13">
        <f>+W43+G43</f>
        <v>0</v>
      </c>
    </row>
    <row r="44" spans="1:24" ht="15" thickBot="1" x14ac:dyDescent="0.4">
      <c r="A44" s="3"/>
      <c r="B44" s="18"/>
      <c r="C44" s="2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T44" s="18"/>
      <c r="U44" s="18"/>
      <c r="V44" s="18"/>
      <c r="W44" s="18"/>
      <c r="X44" s="18"/>
    </row>
    <row r="45" spans="1:24" ht="27" thickBot="1" x14ac:dyDescent="0.4">
      <c r="A45" s="16" t="s">
        <v>58</v>
      </c>
      <c r="B45" s="17">
        <f>+B33-B41+B43</f>
        <v>217206.86000000034</v>
      </c>
      <c r="C45" s="17">
        <f t="shared" ref="C45" si="34">+C33-C41+C43</f>
        <v>0</v>
      </c>
      <c r="D45" s="17">
        <f>+D33-D41+D43</f>
        <v>67969.75</v>
      </c>
      <c r="E45" s="17">
        <f t="shared" ref="E45:X45" si="35">+E33-E41+E43</f>
        <v>1239.3599999999999</v>
      </c>
      <c r="F45" s="17">
        <f t="shared" si="35"/>
        <v>69209.109999999986</v>
      </c>
      <c r="G45" s="13">
        <f>+B45+C45+F45</f>
        <v>286415.97000000032</v>
      </c>
      <c r="H45" s="17">
        <f t="shared" si="35"/>
        <v>-31445.260000000009</v>
      </c>
      <c r="I45" s="17">
        <f t="shared" si="35"/>
        <v>1660.8400000000001</v>
      </c>
      <c r="J45" s="17">
        <f t="shared" si="35"/>
        <v>61.759999999999991</v>
      </c>
      <c r="K45" s="17">
        <f t="shared" si="35"/>
        <v>992.94</v>
      </c>
      <c r="L45" s="17">
        <f t="shared" si="35"/>
        <v>0</v>
      </c>
      <c r="M45" s="17">
        <f t="shared" ref="M45" si="36">+M33-M41+M43</f>
        <v>1445.05</v>
      </c>
      <c r="N45" s="17">
        <f t="shared" si="35"/>
        <v>0</v>
      </c>
      <c r="O45" s="17"/>
      <c r="P45" s="17">
        <f t="shared" si="35"/>
        <v>953.73999999999978</v>
      </c>
      <c r="Q45" s="17">
        <f t="shared" si="35"/>
        <v>-26330.929999999993</v>
      </c>
      <c r="R45" s="17">
        <f t="shared" si="35"/>
        <v>-6670.5099999999993</v>
      </c>
      <c r="S45" s="17">
        <f t="shared" si="35"/>
        <v>-351.07</v>
      </c>
      <c r="T45" s="17">
        <f t="shared" si="35"/>
        <v>-305.64000000000033</v>
      </c>
      <c r="U45" s="17">
        <f t="shared" si="35"/>
        <v>242.94</v>
      </c>
      <c r="V45" s="17">
        <f t="shared" si="35"/>
        <v>-7084.28</v>
      </c>
      <c r="W45" s="17">
        <f t="shared" si="35"/>
        <v>-33415.209999999992</v>
      </c>
      <c r="X45" s="17">
        <f t="shared" si="35"/>
        <v>253000.75999999978</v>
      </c>
    </row>
    <row r="47" spans="1:24" x14ac:dyDescent="0.35">
      <c r="R47" t="s">
        <v>59</v>
      </c>
      <c r="S47" t="s">
        <v>59</v>
      </c>
    </row>
    <row r="48" spans="1:24" x14ac:dyDescent="0.35">
      <c r="R48" t="s">
        <v>59</v>
      </c>
    </row>
  </sheetData>
  <mergeCells count="11">
    <mergeCell ref="R3:U3"/>
    <mergeCell ref="V3:V4"/>
    <mergeCell ref="W3:W4"/>
    <mergeCell ref="X3:X4"/>
    <mergeCell ref="R5:S5"/>
    <mergeCell ref="Q3:Q4"/>
    <mergeCell ref="B3:B4"/>
    <mergeCell ref="C3:C4"/>
    <mergeCell ref="D3:F3"/>
    <mergeCell ref="G3:G4"/>
    <mergeCell ref="H3:P3"/>
  </mergeCells>
  <pageMargins left="0.7" right="0.7" top="0.75" bottom="0.75" header="0.3" footer="0.3"/>
  <pageSetup scale="5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09302025</vt:lpstr>
      <vt:lpstr>'09302025'!Print_Titles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LeFebvre</dc:creator>
  <cp:lastModifiedBy>David Zito</cp:lastModifiedBy>
  <cp:lastPrinted>2026-01-20T16:32:52Z</cp:lastPrinted>
  <dcterms:created xsi:type="dcterms:W3CDTF">2024-03-05T19:52:32Z</dcterms:created>
  <dcterms:modified xsi:type="dcterms:W3CDTF">2026-01-20T16:35:25Z</dcterms:modified>
</cp:coreProperties>
</file>